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20" yWindow="0" windowWidth="24140" windowHeight="16980"/>
  </bookViews>
  <sheets>
    <sheet name="Mode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E31" i="1"/>
  <c r="E13" i="1"/>
  <c r="E14" i="1"/>
  <c r="E18" i="1"/>
  <c r="G18" i="1"/>
  <c r="C53" i="1"/>
  <c r="E60" i="1"/>
  <c r="E30" i="1"/>
  <c r="E32" i="1"/>
  <c r="D45" i="1"/>
  <c r="D44" i="1"/>
  <c r="C50" i="1"/>
  <c r="E57" i="1"/>
  <c r="C51" i="1"/>
  <c r="E58" i="1"/>
  <c r="E61" i="1"/>
  <c r="F60" i="1"/>
  <c r="F57" i="1"/>
  <c r="F58" i="1"/>
  <c r="F61" i="1"/>
  <c r="G60" i="1"/>
  <c r="G57" i="1"/>
  <c r="G58" i="1"/>
  <c r="G61" i="1"/>
  <c r="E50" i="1"/>
  <c r="F50" i="1"/>
  <c r="G50" i="1"/>
  <c r="E51" i="1"/>
  <c r="F51" i="1"/>
  <c r="G51" i="1"/>
  <c r="E53" i="1"/>
  <c r="F53" i="1"/>
  <c r="G53" i="1"/>
  <c r="G54" i="1"/>
  <c r="F54" i="1"/>
  <c r="E54" i="1"/>
  <c r="D8" i="1"/>
  <c r="D7" i="1"/>
  <c r="G7" i="1"/>
  <c r="D37" i="1"/>
  <c r="E12" i="1"/>
  <c r="D53" i="1"/>
  <c r="D51" i="1"/>
  <c r="D50" i="1"/>
  <c r="D36" i="1"/>
  <c r="D35" i="1"/>
  <c r="H18" i="1"/>
  <c r="C44" i="1"/>
  <c r="D25" i="1"/>
  <c r="E25" i="1"/>
  <c r="D26" i="1"/>
  <c r="E26" i="1"/>
  <c r="C45" i="1"/>
</calcChain>
</file>

<file path=xl/sharedStrings.xml><?xml version="1.0" encoding="utf-8"?>
<sst xmlns="http://schemas.openxmlformats.org/spreadsheetml/2006/main" count="72" uniqueCount="54">
  <si>
    <t>Monthly</t>
  </si>
  <si>
    <t>Annual</t>
  </si>
  <si>
    <t>One Time</t>
  </si>
  <si>
    <t>Arin IP</t>
  </si>
  <si>
    <t>Insurance</t>
  </si>
  <si>
    <t>Website Hosting</t>
  </si>
  <si>
    <t>Colo/Cabinet *</t>
  </si>
  <si>
    <t>Colo/Power *</t>
  </si>
  <si>
    <t>EX4200-48-T</t>
  </si>
  <si>
    <t>EX4500</t>
  </si>
  <si>
    <t>Expected Life</t>
  </si>
  <si>
    <t>Total Expected</t>
  </si>
  <si>
    <t>Breakdown - Members</t>
  </si>
  <si>
    <t>Switch(es)</t>
  </si>
  <si>
    <t>Cost / Member</t>
  </si>
  <si>
    <t>Support</t>
  </si>
  <si>
    <t>Total Members (IP)</t>
  </si>
  <si>
    <t>Total Members - 10 G *</t>
  </si>
  <si>
    <t>Total Members - 1 G *</t>
  </si>
  <si>
    <t>Annual Support</t>
  </si>
  <si>
    <t>* MICE Switch(es) Only</t>
  </si>
  <si>
    <t>Breakdown - Switch Cost for Direct Connects (Annual)</t>
  </si>
  <si>
    <t>Breakdown - Total Cost Per Member</t>
  </si>
  <si>
    <t>10 G</t>
  </si>
  <si>
    <t>1 G</t>
  </si>
  <si>
    <t>10G Port Charges</t>
  </si>
  <si>
    <t>1G Port Charges</t>
  </si>
  <si>
    <t>* All members pay base member fee</t>
  </si>
  <si>
    <t>Base Member Fee (IP) *</t>
  </si>
  <si>
    <t>Total Annual</t>
  </si>
  <si>
    <t>Percentage of Total Current Connections</t>
  </si>
  <si>
    <t>MICE Cost Breakdown Worksheet</t>
  </si>
  <si>
    <t>Replacement/Upgrade Costs (Today's $$, Budgetary Numbers Only)</t>
  </si>
  <si>
    <t>Base Member (IP) Cost</t>
  </si>
  <si>
    <t>Total Remaining</t>
  </si>
  <si>
    <t>Total Costs *</t>
  </si>
  <si>
    <t>Full Cabinet</t>
  </si>
  <si>
    <t>Half Cabinet</t>
  </si>
  <si>
    <t>Cabinet Costs</t>
  </si>
  <si>
    <t>Annualy</t>
  </si>
  <si>
    <t>Power</t>
  </si>
  <si>
    <t>Power Costs</t>
  </si>
  <si>
    <t>Annually</t>
  </si>
  <si>
    <t>Breakdown - Total Expected Costs - MICE</t>
  </si>
  <si>
    <t>Assumed Value of 10G to 1 G Port (e.g. 2:1)</t>
  </si>
  <si>
    <t>Some Number</t>
  </si>
  <si>
    <t xml:space="preserve">Input Values in Orange Fields: </t>
  </si>
  <si>
    <t>Route Servers **</t>
  </si>
  <si>
    <t>* Currently donated by Cologix (3 year agreement, just renewed); assumption in calculations is MICE doesn't have this donation</t>
  </si>
  <si>
    <t>* Costs calculated using percentage of port utilization</t>
  </si>
  <si>
    <t>Base Fee</t>
  </si>
  <si>
    <t>Breakdown - Actual Expected Costs Considering Cologix Donation</t>
  </si>
  <si>
    <t>Switch Cost (Assuming purchase of 1 EX4500 &amp; 1 EX4200-48-T)</t>
  </si>
  <si>
    <t>** Assumption is used that MICE will purchase the route servers new; today's numbers, budgetary estimate only including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</si>
</sst>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sz val="11"/>
      <name val="Calibri"/>
      <scheme val="minor"/>
    </font>
    <font>
      <i/>
      <sz val="11"/>
      <color theme="1"/>
      <name val="Calibri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Font="1"/>
    <xf numFmtId="44" fontId="5" fillId="0" borderId="0" xfId="1" applyFont="1"/>
    <xf numFmtId="44" fontId="5" fillId="0" borderId="1" xfId="1" applyFont="1" applyBorder="1"/>
    <xf numFmtId="0" fontId="2" fillId="0" borderId="0" xfId="0" applyFont="1" applyAlignment="1"/>
    <xf numFmtId="0" fontId="0" fillId="0" borderId="0" xfId="0" applyBorder="1"/>
    <xf numFmtId="44" fontId="5" fillId="0" borderId="0" xfId="1" applyFont="1" applyBorder="1"/>
    <xf numFmtId="0" fontId="2" fillId="2" borderId="5" xfId="0" applyFont="1" applyFill="1" applyBorder="1"/>
    <xf numFmtId="44" fontId="5" fillId="2" borderId="0" xfId="1" applyFont="1" applyFill="1" applyBorder="1"/>
    <xf numFmtId="0" fontId="2" fillId="2" borderId="7" xfId="0" applyFont="1" applyFill="1" applyBorder="1"/>
    <xf numFmtId="44" fontId="5" fillId="2" borderId="8" xfId="1" applyFont="1" applyFill="1" applyBorder="1"/>
    <xf numFmtId="44" fontId="6" fillId="0" borderId="0" xfId="1" applyFont="1"/>
    <xf numFmtId="0" fontId="7" fillId="0" borderId="0" xfId="0" applyFont="1"/>
    <xf numFmtId="0" fontId="7" fillId="0" borderId="0" xfId="0" applyFont="1" applyAlignment="1">
      <alignment horizontal="right"/>
    </xf>
    <xf numFmtId="10" fontId="0" fillId="0" borderId="0" xfId="0" applyNumberFormat="1"/>
    <xf numFmtId="44" fontId="2" fillId="0" borderId="0" xfId="1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3" borderId="13" xfId="0" applyFill="1" applyBorder="1"/>
    <xf numFmtId="0" fontId="2" fillId="3" borderId="0" xfId="0" applyFont="1" applyFill="1" applyBorder="1" applyAlignment="1">
      <alignment horizontal="center"/>
    </xf>
    <xf numFmtId="0" fontId="2" fillId="3" borderId="13" xfId="0" applyFont="1" applyFill="1" applyBorder="1"/>
    <xf numFmtId="44" fontId="0" fillId="3" borderId="0" xfId="0" applyNumberFormat="1" applyFill="1" applyBorder="1"/>
    <xf numFmtId="44" fontId="0" fillId="3" borderId="0" xfId="0" applyNumberFormat="1" applyFont="1" applyFill="1" applyBorder="1"/>
    <xf numFmtId="44" fontId="6" fillId="4" borderId="17" xfId="1" applyFont="1" applyFill="1" applyBorder="1"/>
    <xf numFmtId="44" fontId="0" fillId="4" borderId="17" xfId="1" applyFont="1" applyFill="1" applyBorder="1"/>
    <xf numFmtId="0" fontId="0" fillId="4" borderId="17" xfId="0" applyFill="1" applyBorder="1"/>
    <xf numFmtId="44" fontId="0" fillId="4" borderId="18" xfId="1" applyFont="1" applyFill="1" applyBorder="1"/>
    <xf numFmtId="0" fontId="0" fillId="0" borderId="1" xfId="0" applyBorder="1"/>
    <xf numFmtId="44" fontId="0" fillId="0" borderId="0" xfId="0" applyNumberFormat="1" applyFill="1" applyBorder="1"/>
    <xf numFmtId="44" fontId="0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2" borderId="5" xfId="0" applyFont="1" applyFill="1" applyBorder="1" applyAlignment="1">
      <alignment horizontal="center"/>
    </xf>
    <xf numFmtId="44" fontId="0" fillId="2" borderId="0" xfId="0" applyNumberFormat="1" applyFont="1" applyFill="1" applyBorder="1" applyAlignment="1">
      <alignment horizontal="center"/>
    </xf>
    <xf numFmtId="44" fontId="0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4" fontId="0" fillId="2" borderId="8" xfId="0" applyNumberFormat="1" applyFont="1" applyFill="1" applyBorder="1" applyAlignment="1">
      <alignment horizontal="center"/>
    </xf>
    <xf numFmtId="44" fontId="0" fillId="2" borderId="9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44" fontId="0" fillId="5" borderId="13" xfId="0" applyNumberFormat="1" applyFill="1" applyBorder="1"/>
    <xf numFmtId="44" fontId="0" fillId="5" borderId="0" xfId="0" applyNumberFormat="1" applyFill="1" applyBorder="1"/>
    <xf numFmtId="44" fontId="0" fillId="5" borderId="14" xfId="0" applyNumberFormat="1" applyFill="1" applyBorder="1"/>
    <xf numFmtId="0" fontId="0" fillId="5" borderId="13" xfId="0" applyFill="1" applyBorder="1"/>
    <xf numFmtId="0" fontId="0" fillId="5" borderId="0" xfId="0" applyFill="1" applyBorder="1"/>
    <xf numFmtId="0" fontId="0" fillId="5" borderId="14" xfId="0" applyFill="1" applyBorder="1"/>
    <xf numFmtId="44" fontId="0" fillId="5" borderId="19" xfId="0" applyNumberFormat="1" applyFill="1" applyBorder="1"/>
    <xf numFmtId="44" fontId="0" fillId="5" borderId="20" xfId="0" applyNumberFormat="1" applyFill="1" applyBorder="1"/>
    <xf numFmtId="44" fontId="0" fillId="5" borderId="21" xfId="0" applyNumberFormat="1" applyFill="1" applyBorder="1"/>
    <xf numFmtId="0" fontId="2" fillId="4" borderId="17" xfId="0" quotePrefix="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44" fontId="7" fillId="3" borderId="0" xfId="0" applyNumberFormat="1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/>
    <xf numFmtId="44" fontId="0" fillId="6" borderId="0" xfId="0" applyNumberFormat="1" applyFill="1" applyBorder="1"/>
    <xf numFmtId="44" fontId="0" fillId="6" borderId="14" xfId="0" applyNumberFormat="1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5" xfId="0" applyFill="1" applyBorder="1"/>
    <xf numFmtId="44" fontId="0" fillId="6" borderId="1" xfId="0" applyNumberFormat="1" applyFill="1" applyBorder="1"/>
    <xf numFmtId="44" fontId="0" fillId="6" borderId="16" xfId="0" applyNumberFormat="1" applyFill="1" applyBorder="1"/>
    <xf numFmtId="0" fontId="2" fillId="6" borderId="19" xfId="0" applyFont="1" applyFill="1" applyBorder="1"/>
    <xf numFmtId="44" fontId="0" fillId="6" borderId="20" xfId="0" applyNumberFormat="1" applyFill="1" applyBorder="1"/>
    <xf numFmtId="44" fontId="0" fillId="6" borderId="21" xfId="0" applyNumberFormat="1" applyFill="1" applyBorder="1"/>
    <xf numFmtId="164" fontId="0" fillId="2" borderId="0" xfId="0" applyNumberFormat="1" applyFont="1" applyFill="1" applyBorder="1"/>
    <xf numFmtId="164" fontId="0" fillId="2" borderId="8" xfId="0" applyNumberFormat="1" applyFont="1" applyFill="1" applyBorder="1"/>
    <xf numFmtId="0" fontId="0" fillId="2" borderId="23" xfId="0" applyFill="1" applyBorder="1"/>
    <xf numFmtId="0" fontId="0" fillId="2" borderId="22" xfId="0" applyFill="1" applyBorder="1"/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"/>
  <sheetViews>
    <sheetView tabSelected="1" topLeftCell="A10" workbookViewId="0">
      <selection activeCell="B21" sqref="B21"/>
    </sheetView>
  </sheetViews>
  <sheetFormatPr baseColWidth="10" defaultColWidth="8.83203125" defaultRowHeight="14" x14ac:dyDescent="0"/>
  <cols>
    <col min="2" max="2" width="21" bestFit="1" customWidth="1"/>
    <col min="3" max="6" width="13.1640625" customWidth="1"/>
    <col min="7" max="7" width="15.6640625" customWidth="1"/>
    <col min="8" max="12" width="13.1640625" customWidth="1"/>
  </cols>
  <sheetData>
    <row r="1" spans="2:8" ht="18">
      <c r="B1" s="34" t="s">
        <v>31</v>
      </c>
      <c r="C1" s="34"/>
      <c r="D1" s="34"/>
      <c r="E1" s="34"/>
      <c r="F1" s="34"/>
      <c r="G1" s="34"/>
      <c r="H1" s="34"/>
    </row>
    <row r="2" spans="2:8" s="43" customFormat="1">
      <c r="B2" s="42"/>
      <c r="C2" s="42"/>
      <c r="D2" s="42"/>
      <c r="E2" s="42"/>
      <c r="F2" s="42"/>
      <c r="G2" s="42"/>
      <c r="H2" s="42"/>
    </row>
    <row r="3" spans="2:8" s="43" customFormat="1">
      <c r="B3" s="67" t="s">
        <v>46</v>
      </c>
      <c r="C3" s="68"/>
      <c r="D3" s="66" t="s">
        <v>45</v>
      </c>
      <c r="E3" s="42"/>
      <c r="F3" s="42"/>
      <c r="G3" s="42"/>
      <c r="H3" s="42"/>
    </row>
    <row r="4" spans="2:8" s="43" customFormat="1">
      <c r="B4" s="42"/>
      <c r="C4" s="42"/>
      <c r="D4" s="42"/>
      <c r="E4" s="42"/>
      <c r="F4" s="42"/>
      <c r="G4" s="42"/>
      <c r="H4" s="42"/>
    </row>
    <row r="5" spans="2:8" s="43" customFormat="1">
      <c r="B5" s="35" t="s">
        <v>38</v>
      </c>
      <c r="C5" s="36"/>
      <c r="D5" s="37"/>
      <c r="E5" s="36" t="s">
        <v>41</v>
      </c>
      <c r="F5" s="36"/>
      <c r="G5" s="37"/>
      <c r="H5" s="42"/>
    </row>
    <row r="6" spans="2:8" s="43" customFormat="1">
      <c r="B6" s="10"/>
      <c r="C6" s="19" t="s">
        <v>0</v>
      </c>
      <c r="D6" s="20" t="s">
        <v>39</v>
      </c>
      <c r="E6" s="19"/>
      <c r="F6" s="19" t="s">
        <v>0</v>
      </c>
      <c r="G6" s="20" t="s">
        <v>42</v>
      </c>
      <c r="H6" s="42"/>
    </row>
    <row r="7" spans="2:8" s="43" customFormat="1">
      <c r="B7" s="44" t="s">
        <v>36</v>
      </c>
      <c r="C7" s="45">
        <v>750</v>
      </c>
      <c r="D7" s="46">
        <f>C7*12</f>
        <v>9000</v>
      </c>
      <c r="E7" s="19" t="s">
        <v>40</v>
      </c>
      <c r="F7" s="45">
        <v>510</v>
      </c>
      <c r="G7" s="46">
        <f>F7*12</f>
        <v>6120</v>
      </c>
      <c r="H7" s="42"/>
    </row>
    <row r="8" spans="2:8" s="43" customFormat="1">
      <c r="B8" s="47" t="s">
        <v>37</v>
      </c>
      <c r="C8" s="48">
        <v>400</v>
      </c>
      <c r="D8" s="49">
        <f>C8*12</f>
        <v>4800</v>
      </c>
      <c r="E8" s="50"/>
      <c r="F8" s="48"/>
      <c r="G8" s="49"/>
      <c r="H8" s="42"/>
    </row>
    <row r="9" spans="2:8" s="43" customFormat="1">
      <c r="B9" s="42"/>
      <c r="C9" s="42"/>
      <c r="D9" s="42"/>
      <c r="E9" s="42"/>
      <c r="F9" s="42"/>
      <c r="G9" s="42"/>
      <c r="H9" s="42"/>
    </row>
    <row r="10" spans="2:8">
      <c r="B10" s="33" t="s">
        <v>33</v>
      </c>
      <c r="C10" s="33"/>
      <c r="D10" s="33"/>
      <c r="E10" s="33"/>
      <c r="F10" s="33"/>
      <c r="G10" s="3" t="s">
        <v>1</v>
      </c>
      <c r="H10" s="3" t="s">
        <v>0</v>
      </c>
    </row>
    <row r="11" spans="2:8" s="3" customFormat="1">
      <c r="C11" s="3" t="s">
        <v>2</v>
      </c>
      <c r="D11" s="3" t="s">
        <v>0</v>
      </c>
      <c r="E11" s="3" t="s">
        <v>1</v>
      </c>
      <c r="F11" s="3" t="s">
        <v>10</v>
      </c>
      <c r="G11" s="3" t="s">
        <v>14</v>
      </c>
      <c r="H11" s="3" t="s">
        <v>14</v>
      </c>
    </row>
    <row r="12" spans="2:8">
      <c r="B12" s="2" t="s">
        <v>47</v>
      </c>
      <c r="C12" s="26">
        <v>6000</v>
      </c>
      <c r="D12" s="14"/>
      <c r="E12" s="5">
        <f>C12/F12</f>
        <v>1200</v>
      </c>
      <c r="F12" s="28">
        <v>5</v>
      </c>
    </row>
    <row r="13" spans="2:8">
      <c r="B13" s="2" t="s">
        <v>6</v>
      </c>
      <c r="C13" s="9"/>
      <c r="D13" s="27">
        <v>400</v>
      </c>
      <c r="E13" s="9">
        <f>D13*12</f>
        <v>4800</v>
      </c>
    </row>
    <row r="14" spans="2:8">
      <c r="B14" s="2" t="s">
        <v>7</v>
      </c>
      <c r="C14" s="5"/>
      <c r="D14" s="27">
        <v>510</v>
      </c>
      <c r="E14" s="5">
        <f>D14*12</f>
        <v>6120</v>
      </c>
    </row>
    <row r="15" spans="2:8">
      <c r="B15" s="2" t="s">
        <v>3</v>
      </c>
      <c r="C15" s="1"/>
      <c r="D15" s="5"/>
      <c r="E15" s="27">
        <v>100</v>
      </c>
    </row>
    <row r="16" spans="2:8">
      <c r="B16" s="2" t="s">
        <v>5</v>
      </c>
      <c r="C16" s="5"/>
      <c r="D16" s="5"/>
      <c r="E16" s="27">
        <v>200</v>
      </c>
    </row>
    <row r="17" spans="2:8" ht="15" thickBot="1">
      <c r="B17" s="2" t="s">
        <v>4</v>
      </c>
      <c r="C17" s="6"/>
      <c r="D17" s="6"/>
      <c r="E17" s="29">
        <v>1200</v>
      </c>
      <c r="F17" s="30"/>
      <c r="G17" s="30"/>
      <c r="H17" s="30"/>
    </row>
    <row r="18" spans="2:8">
      <c r="C18" s="1"/>
      <c r="D18" s="1"/>
      <c r="E18" s="1">
        <f>SUM(E12:E17)</f>
        <v>13620</v>
      </c>
      <c r="G18" s="31">
        <f>E18/C37</f>
        <v>439.35483870967744</v>
      </c>
      <c r="H18" s="31">
        <f>G18/12</f>
        <v>36.612903225806456</v>
      </c>
    </row>
    <row r="19" spans="2:8">
      <c r="B19" s="15" t="s">
        <v>48</v>
      </c>
    </row>
    <row r="20" spans="2:8">
      <c r="B20" s="15" t="s">
        <v>53</v>
      </c>
    </row>
    <row r="21" spans="2:8">
      <c r="B21" s="15"/>
    </row>
    <row r="23" spans="2:8">
      <c r="B23" s="35" t="s">
        <v>32</v>
      </c>
      <c r="C23" s="36"/>
      <c r="D23" s="36"/>
      <c r="E23" s="36"/>
      <c r="F23" s="36"/>
      <c r="G23" s="37"/>
    </row>
    <row r="24" spans="2:8">
      <c r="B24" s="10"/>
      <c r="C24" s="19" t="s">
        <v>2</v>
      </c>
      <c r="D24" s="19" t="s">
        <v>0</v>
      </c>
      <c r="E24" s="19" t="s">
        <v>1</v>
      </c>
      <c r="F24" s="19" t="s">
        <v>10</v>
      </c>
      <c r="G24" s="20" t="s">
        <v>19</v>
      </c>
    </row>
    <row r="25" spans="2:8">
      <c r="B25" s="10" t="s">
        <v>8</v>
      </c>
      <c r="C25" s="90">
        <v>4200</v>
      </c>
      <c r="D25" s="11">
        <f t="shared" ref="D25:D26" si="0">C25/(F25*12)</f>
        <v>116.66666666666667</v>
      </c>
      <c r="E25" s="11">
        <f t="shared" ref="E25:E26" si="1">C25/F25</f>
        <v>1400</v>
      </c>
      <c r="F25" s="28">
        <v>3</v>
      </c>
      <c r="G25" s="92">
        <v>900</v>
      </c>
    </row>
    <row r="26" spans="2:8">
      <c r="B26" s="12" t="s">
        <v>9</v>
      </c>
      <c r="C26" s="91">
        <v>19500</v>
      </c>
      <c r="D26" s="13">
        <f t="shared" si="0"/>
        <v>541.66666666666663</v>
      </c>
      <c r="E26" s="13">
        <f t="shared" si="1"/>
        <v>6500</v>
      </c>
      <c r="F26" s="28">
        <v>3</v>
      </c>
      <c r="G26" s="93">
        <v>3600</v>
      </c>
    </row>
    <row r="27" spans="2:8">
      <c r="B27" s="2"/>
      <c r="C27" s="4"/>
      <c r="D27" s="5"/>
      <c r="E27" s="5"/>
    </row>
    <row r="28" spans="2:8">
      <c r="B28" s="33" t="s">
        <v>52</v>
      </c>
      <c r="C28" s="33"/>
      <c r="D28" s="33"/>
      <c r="E28" s="33"/>
      <c r="F28" s="33"/>
      <c r="G28" s="3"/>
      <c r="H28" s="3"/>
    </row>
    <row r="29" spans="2:8" s="3" customFormat="1">
      <c r="C29" s="3" t="s">
        <v>2</v>
      </c>
      <c r="D29" s="3" t="s">
        <v>0</v>
      </c>
      <c r="E29" s="3" t="s">
        <v>1</v>
      </c>
      <c r="F29" s="3" t="s">
        <v>10</v>
      </c>
    </row>
    <row r="30" spans="2:8">
      <c r="B30" s="2" t="s">
        <v>13</v>
      </c>
      <c r="C30" s="26">
        <f>C26+C25</f>
        <v>23700</v>
      </c>
      <c r="D30" s="14"/>
      <c r="E30" s="5">
        <f>C30/F30</f>
        <v>7900</v>
      </c>
      <c r="F30" s="28">
        <v>3</v>
      </c>
    </row>
    <row r="31" spans="2:8" ht="15" thickBot="1">
      <c r="B31" s="2" t="s">
        <v>15</v>
      </c>
      <c r="C31" s="6"/>
      <c r="D31" s="6"/>
      <c r="E31" s="29">
        <f>G26+G25</f>
        <v>4500</v>
      </c>
      <c r="F31" s="8"/>
    </row>
    <row r="32" spans="2:8">
      <c r="C32" s="1"/>
      <c r="D32" s="1"/>
      <c r="E32" s="1">
        <f>SUM(E30:E31)</f>
        <v>12400</v>
      </c>
    </row>
    <row r="34" spans="2:7">
      <c r="B34" s="33" t="s">
        <v>12</v>
      </c>
      <c r="C34" s="33"/>
      <c r="D34" s="7" t="s">
        <v>30</v>
      </c>
      <c r="E34" s="7"/>
      <c r="F34" s="7"/>
      <c r="G34" s="7"/>
    </row>
    <row r="35" spans="2:7">
      <c r="B35" s="2" t="s">
        <v>17</v>
      </c>
      <c r="C35" s="28">
        <v>6</v>
      </c>
      <c r="D35" s="17">
        <f>C35/SUM(C35:C36)</f>
        <v>0.2608695652173913</v>
      </c>
    </row>
    <row r="36" spans="2:7">
      <c r="B36" s="2" t="s">
        <v>18</v>
      </c>
      <c r="C36" s="28">
        <v>17</v>
      </c>
      <c r="D36" s="17">
        <f>C36/SUM(C35:C36)</f>
        <v>0.73913043478260865</v>
      </c>
    </row>
    <row r="37" spans="2:7">
      <c r="B37" s="2" t="s">
        <v>16</v>
      </c>
      <c r="C37" s="28">
        <v>31</v>
      </c>
      <c r="D37" s="17">
        <f>C37/C37</f>
        <v>1</v>
      </c>
    </row>
    <row r="38" spans="2:7">
      <c r="B38" s="16" t="s">
        <v>20</v>
      </c>
    </row>
    <row r="40" spans="2:7">
      <c r="B40" s="40" t="s">
        <v>44</v>
      </c>
      <c r="C40" s="41"/>
      <c r="D40" s="28">
        <v>2</v>
      </c>
    </row>
    <row r="41" spans="2:7">
      <c r="B41" s="2"/>
      <c r="C41" s="1"/>
      <c r="D41" s="1"/>
      <c r="E41" s="1"/>
      <c r="F41" s="1"/>
      <c r="G41" s="1"/>
    </row>
    <row r="42" spans="2:7">
      <c r="B42" s="33" t="s">
        <v>21</v>
      </c>
      <c r="C42" s="33"/>
      <c r="D42" s="33"/>
      <c r="E42" s="7"/>
      <c r="F42" s="7"/>
      <c r="G42" s="7"/>
    </row>
    <row r="43" spans="2:7">
      <c r="B43" s="2"/>
      <c r="C43" s="18" t="s">
        <v>0</v>
      </c>
      <c r="D43" s="18" t="s">
        <v>1</v>
      </c>
    </row>
    <row r="44" spans="2:7">
      <c r="B44" s="2" t="s">
        <v>25</v>
      </c>
      <c r="C44" s="32">
        <f>D44/12</f>
        <v>71.264367816091962</v>
      </c>
      <c r="D44" s="32">
        <f>D45*D40</f>
        <v>855.17241379310349</v>
      </c>
      <c r="E44" s="8"/>
    </row>
    <row r="45" spans="2:7">
      <c r="B45" s="2" t="s">
        <v>26</v>
      </c>
      <c r="C45" s="32">
        <f>D45/12</f>
        <v>35.632183908045981</v>
      </c>
      <c r="D45" s="32">
        <f>E32/((C35*D40)+C36)</f>
        <v>427.58620689655174</v>
      </c>
      <c r="E45" s="8"/>
    </row>
    <row r="47" spans="2:7" ht="15" thickBot="1"/>
    <row r="48" spans="2:7">
      <c r="B48" s="38" t="s">
        <v>22</v>
      </c>
      <c r="C48" s="39"/>
      <c r="D48" s="39"/>
      <c r="E48" s="51" t="s">
        <v>43</v>
      </c>
      <c r="F48" s="52"/>
      <c r="G48" s="53"/>
    </row>
    <row r="49" spans="2:7">
      <c r="B49" s="21"/>
      <c r="C49" s="22" t="s">
        <v>1</v>
      </c>
      <c r="D49" s="69" t="s">
        <v>29</v>
      </c>
      <c r="E49" s="54" t="s">
        <v>11</v>
      </c>
      <c r="F49" s="55" t="s">
        <v>35</v>
      </c>
      <c r="G49" s="56" t="s">
        <v>34</v>
      </c>
    </row>
    <row r="50" spans="2:7">
      <c r="B50" s="23" t="s">
        <v>23</v>
      </c>
      <c r="C50" s="24">
        <f>ROUNDUP(D44,-1)</f>
        <v>860</v>
      </c>
      <c r="D50" s="70">
        <f>C50+C53</f>
        <v>1300</v>
      </c>
      <c r="E50" s="57">
        <f>C50*C35</f>
        <v>5160</v>
      </c>
      <c r="F50" s="58">
        <f>E32*D35</f>
        <v>3234.782608695652</v>
      </c>
      <c r="G50" s="59">
        <f>E50-F50</f>
        <v>1925.217391304348</v>
      </c>
    </row>
    <row r="51" spans="2:7">
      <c r="B51" s="23" t="s">
        <v>24</v>
      </c>
      <c r="C51" s="24">
        <f>ROUNDUP(D45,-1)</f>
        <v>430</v>
      </c>
      <c r="D51" s="70">
        <f>C51+C53</f>
        <v>870</v>
      </c>
      <c r="E51" s="57">
        <f>C51*C36</f>
        <v>7310</v>
      </c>
      <c r="F51" s="58">
        <f>E32*D36</f>
        <v>9165.217391304348</v>
      </c>
      <c r="G51" s="59">
        <f>E51-F51</f>
        <v>-1855.217391304348</v>
      </c>
    </row>
    <row r="52" spans="2:7">
      <c r="B52" s="23"/>
      <c r="C52" s="24"/>
      <c r="D52" s="70"/>
      <c r="E52" s="60"/>
      <c r="F52" s="61"/>
      <c r="G52" s="62"/>
    </row>
    <row r="53" spans="2:7" ht="15" thickBot="1">
      <c r="B53" s="23" t="s">
        <v>28</v>
      </c>
      <c r="C53" s="25">
        <f>ROUNDUP(G18,-1)</f>
        <v>440</v>
      </c>
      <c r="D53" s="70">
        <f>C53</f>
        <v>440</v>
      </c>
      <c r="E53" s="63">
        <f>C53*C37</f>
        <v>13640</v>
      </c>
      <c r="F53" s="64">
        <f>E18</f>
        <v>13620</v>
      </c>
      <c r="G53" s="65">
        <f>E53-F53</f>
        <v>20</v>
      </c>
    </row>
    <row r="54" spans="2:7" ht="16" thickTop="1" thickBot="1">
      <c r="B54" s="71" t="s">
        <v>27</v>
      </c>
      <c r="C54" s="72"/>
      <c r="D54" s="72"/>
      <c r="E54" s="57">
        <f>SUM(E50:E53)</f>
        <v>26110</v>
      </c>
      <c r="F54" s="58">
        <f>SUM(F50:F53)</f>
        <v>26020</v>
      </c>
      <c r="G54" s="59">
        <f>SUM(G50:G53)</f>
        <v>90</v>
      </c>
    </row>
    <row r="55" spans="2:7" ht="15" thickBot="1">
      <c r="E55" s="73" t="s">
        <v>49</v>
      </c>
      <c r="F55" s="74"/>
      <c r="G55" s="75"/>
    </row>
    <row r="56" spans="2:7">
      <c r="D56" s="76" t="s">
        <v>51</v>
      </c>
      <c r="E56" s="77"/>
      <c r="F56" s="77"/>
      <c r="G56" s="78"/>
    </row>
    <row r="57" spans="2:7">
      <c r="D57" s="79" t="s">
        <v>23</v>
      </c>
      <c r="E57" s="80">
        <f>C50*C35</f>
        <v>5160</v>
      </c>
      <c r="F57" s="80">
        <f>E32*D35</f>
        <v>3234.782608695652</v>
      </c>
      <c r="G57" s="81">
        <f>E57-F57</f>
        <v>1925.217391304348</v>
      </c>
    </row>
    <row r="58" spans="2:7">
      <c r="D58" s="79" t="s">
        <v>24</v>
      </c>
      <c r="E58" s="80">
        <f>C51*C36</f>
        <v>7310</v>
      </c>
      <c r="F58" s="80">
        <f>E32*D36</f>
        <v>9165.217391304348</v>
      </c>
      <c r="G58" s="81">
        <f>E58-F58</f>
        <v>-1855.217391304348</v>
      </c>
    </row>
    <row r="59" spans="2:7">
      <c r="D59" s="79"/>
      <c r="E59" s="82"/>
      <c r="F59" s="82"/>
      <c r="G59" s="83"/>
    </row>
    <row r="60" spans="2:7" ht="15" thickBot="1">
      <c r="D60" s="87" t="s">
        <v>50</v>
      </c>
      <c r="E60" s="88">
        <f>C53*C37</f>
        <v>13640</v>
      </c>
      <c r="F60" s="88">
        <f>E18-E13-E14</f>
        <v>2700</v>
      </c>
      <c r="G60" s="89">
        <f>E60-F60</f>
        <v>10940</v>
      </c>
    </row>
    <row r="61" spans="2:7" ht="16" thickTop="1" thickBot="1">
      <c r="D61" s="84"/>
      <c r="E61" s="85">
        <f>SUM(E57:E60)</f>
        <v>26110</v>
      </c>
      <c r="F61" s="85">
        <f>SUM(F57:F60)</f>
        <v>15100</v>
      </c>
      <c r="G61" s="86">
        <f>SUM(G57:G60)</f>
        <v>11010</v>
      </c>
    </row>
  </sheetData>
  <mergeCells count="15">
    <mergeCell ref="E55:G55"/>
    <mergeCell ref="D56:G56"/>
    <mergeCell ref="B54:D54"/>
    <mergeCell ref="B48:D48"/>
    <mergeCell ref="B40:C40"/>
    <mergeCell ref="E5:G5"/>
    <mergeCell ref="B5:D5"/>
    <mergeCell ref="B42:D42"/>
    <mergeCell ref="E48:G48"/>
    <mergeCell ref="B10:F10"/>
    <mergeCell ref="B1:H1"/>
    <mergeCell ref="B28:F28"/>
    <mergeCell ref="B34:C34"/>
    <mergeCell ref="B23:G23"/>
    <mergeCell ref="B3:C3"/>
  </mergeCells>
  <phoneticPr fontId="8" type="noConversion"/>
  <pageMargins left="0.7" right="0.7" top="0.75" bottom="0.75" header="0.3" footer="0.3"/>
  <pageSetup orientation="portrait" horizontalDpi="4294967292" verticalDpi="4294967292"/>
  <ignoredErrors>
    <ignoredError sqref="D35:D36" formulaRange="1"/>
    <ignoredError sqref="E54:G54 E61:G6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JAY-5510</dc:creator>
  <cp:lastModifiedBy>Shaun Carlson</cp:lastModifiedBy>
  <cp:lastPrinted>2012-10-03T23:52:27Z</cp:lastPrinted>
  <dcterms:created xsi:type="dcterms:W3CDTF">2012-07-23T16:25:51Z</dcterms:created>
  <dcterms:modified xsi:type="dcterms:W3CDTF">2012-10-05T16:15:58Z</dcterms:modified>
</cp:coreProperties>
</file>